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defaultThemeVersion="124226"/>
  <bookViews>
    <workbookView xWindow="240" yWindow="105" windowWidth="14805" windowHeight="8010"/>
  </bookViews>
  <sheets>
    <sheet name="Плоская кровля" sheetId="1" r:id="rId1"/>
    <sheet name="Климатические зоны" sheetId="4" r:id="rId2"/>
    <sheet name="Исходные данные" sheetId="3" state="veryHidden" r:id="rId3"/>
  </sheets>
  <calcPr calcId="152511"/>
</workbook>
</file>

<file path=xl/calcChain.xml><?xml version="1.0" encoding="utf-8"?>
<calcChain xmlns="http://schemas.openxmlformats.org/spreadsheetml/2006/main">
  <c r="D64" i="1" l="1"/>
  <c r="D61" i="1"/>
  <c r="D58" i="1"/>
  <c r="D57" i="1"/>
  <c r="D55" i="1"/>
  <c r="D51" i="1"/>
  <c r="D60" i="1" s="1"/>
  <c r="C37" i="1"/>
  <c r="B37" i="1"/>
  <c r="C36" i="1"/>
  <c r="B36" i="1"/>
  <c r="C35" i="1"/>
  <c r="B35" i="1"/>
  <c r="E34" i="1"/>
  <c r="C34" i="1"/>
  <c r="B34" i="1"/>
  <c r="C33" i="1"/>
  <c r="B33" i="1"/>
  <c r="D65" i="1" l="1"/>
  <c r="D67" i="1" s="1"/>
  <c r="D56" i="1"/>
  <c r="D59" i="1" s="1"/>
  <c r="D12" i="1"/>
  <c r="D20" i="1"/>
  <c r="D21" i="1" s="1"/>
  <c r="D19" i="1"/>
  <c r="D24" i="1" s="1"/>
  <c r="D43" i="1" l="1"/>
  <c r="D36" i="1"/>
  <c r="D33" i="1"/>
  <c r="D35" i="1" s="1"/>
  <c r="D37" i="1"/>
  <c r="D45" i="1"/>
  <c r="D68" i="1"/>
  <c r="D22" i="1"/>
  <c r="D23" i="1" s="1"/>
  <c r="D27" i="1"/>
  <c r="D25" i="1"/>
  <c r="D26" i="1" s="1"/>
  <c r="D34" i="1" l="1"/>
  <c r="D44" i="1"/>
  <c r="D46" i="1" s="1"/>
  <c r="D47" i="1" s="1"/>
  <c r="D48" i="1" l="1"/>
</calcChain>
</file>

<file path=xl/sharedStrings.xml><?xml version="1.0" encoding="utf-8"?>
<sst xmlns="http://schemas.openxmlformats.org/spreadsheetml/2006/main" count="133" uniqueCount="96">
  <si>
    <t>Вид грунта</t>
  </si>
  <si>
    <t>Климатическая зона</t>
  </si>
  <si>
    <t>Требуемое сопротивление заземления (Ом)</t>
  </si>
  <si>
    <t>Высота здания (м) h=</t>
  </si>
  <si>
    <t>Ширина здания (м) b=</t>
  </si>
  <si>
    <t>Длина здания (м) a=</t>
  </si>
  <si>
    <t>Уровень защиты</t>
  </si>
  <si>
    <t>Климатические зоны:</t>
  </si>
  <si>
    <t>Шаг молниеприемной сетки (м) k=</t>
  </si>
  <si>
    <t>lp-08-127-hz</t>
  </si>
  <si>
    <t>gc-0440-20-hz</t>
  </si>
  <si>
    <t>Полоса 4х40мм, (бухта 20м) горячеоцинкованная EKF</t>
  </si>
  <si>
    <t>gc-0440-40-hz</t>
  </si>
  <si>
    <t>Полоса 4х40мм, (бухта 40м) горячеоцинкованная EKF</t>
  </si>
  <si>
    <t>lp-08-25-hz</t>
  </si>
  <si>
    <t>Пруток d 8мм, (бухта 25м) горячеоцикованный EKF</t>
  </si>
  <si>
    <t xml:space="preserve">Пруток d 8мм, (бухта 127м) горячеоцинкованный EKF </t>
  </si>
  <si>
    <t>метров</t>
  </si>
  <si>
    <t>шт</t>
  </si>
  <si>
    <t>lp-g3103</t>
  </si>
  <si>
    <t>Зажим прута универсальный (пластина 45х45мм) HZ EKF</t>
  </si>
  <si>
    <t>lp-55570-al</t>
  </si>
  <si>
    <t>Компенсатор алюминиевый EKF</t>
  </si>
  <si>
    <t>lp-g3202-08</t>
  </si>
  <si>
    <t>Зажим продольный под 8мм токоотвод HZ EKF</t>
  </si>
  <si>
    <t>lp-d1000-082</t>
  </si>
  <si>
    <t>Кровельный держатель прут 8мм c 2 фиксаторами (с бетоном) EKF</t>
  </si>
  <si>
    <t>Молниезащита</t>
  </si>
  <si>
    <t>Заземление</t>
  </si>
  <si>
    <t>Сетка:</t>
  </si>
  <si>
    <t>Вид опусков</t>
  </si>
  <si>
    <t>Пруток d 8мм</t>
  </si>
  <si>
    <t>Полоса 25х4</t>
  </si>
  <si>
    <t>Материал стен</t>
  </si>
  <si>
    <t>Газобетон</t>
  </si>
  <si>
    <t>Бетон</t>
  </si>
  <si>
    <t>Кирпич</t>
  </si>
  <si>
    <t>Брус, дерево</t>
  </si>
  <si>
    <t>Сендвич</t>
  </si>
  <si>
    <t>Шаг вертикальных опусков токоотводов (м) w=</t>
  </si>
  <si>
    <t>Количество вертикальных опусков токоотводов (шт)</t>
  </si>
  <si>
    <t>Вертикальные опуски токоотводы</t>
  </si>
  <si>
    <t>Вид опусков тооотводов</t>
  </si>
  <si>
    <t>Артикул EKF</t>
  </si>
  <si>
    <t xml:space="preserve">Наименование </t>
  </si>
  <si>
    <t>Кол-во</t>
  </si>
  <si>
    <t>Едизм</t>
  </si>
  <si>
    <t>метр</t>
  </si>
  <si>
    <t>класс</t>
  </si>
  <si>
    <t>Глина</t>
  </si>
  <si>
    <t>Песок</t>
  </si>
  <si>
    <t>Суглинок</t>
  </si>
  <si>
    <t>Торф</t>
  </si>
  <si>
    <t>Чернозем</t>
  </si>
  <si>
    <t xml:space="preserve">Введите данные в ячейки цветом- </t>
  </si>
  <si>
    <t>Выберите данные в ячейках цветом -</t>
  </si>
  <si>
    <t>Астраханская область 
Белгородская область 
Волгоградская область 
Калининградская область 
Республика Калмыкия 
Ростовская область 
Ставропольский край 
Республика Адыгея 
Республика Дагестан 
Республика Ингушетия 
Кабардино-Балкарская Республика 
Карачаево-Черкесская Республика 
Республика Северная Осетия – Алания 
Чеченская Республика 
Краснодарский край</t>
  </si>
  <si>
    <t>1 зона</t>
  </si>
  <si>
    <t>2 зона</t>
  </si>
  <si>
    <t>3 зона</t>
  </si>
  <si>
    <t>4 зона</t>
  </si>
  <si>
    <t>Брянская область 
Владимирская область 
Воронежская область 
Ивановская область 
Калужская область 
Курская область 
Ленинградская область 
Липецкая область 
Республика Марий Эл 
Республика Мордовия 
Московская область 
Нижегородская область 
Новгородская область 
Орловская область 
Пензенская область 
Приморский край 
Псковская область 
Рязанская область 
Самарская область 
Саратовская область 
Смоленская область 
Тамбовская область 
Тверская область 
Тульская область 
Ульяновская область 
Чувашская республика 
Ярославская область</t>
  </si>
  <si>
    <t>Республика Алтай 
Амурская область 
Республика Башкортостан 
Республика Бурятия 
Вологодская область 
Иркутская область (кроме районов, перечисленных ниже) 
Республика Карелия 
Кемеровская область 
Кировская область 
Костромская область 
Красноярский край (кроме районов, перечисленных ниже) 
Курганская область 
Новосибирская область 
Омская область 
Оренбургская область 
Пермская область 
Сахалинская область (кроме районов, перечисленных ниже) 
Свердловская область 
Республика Татарстан 
Томская область (кроме районов, перечисленных ниже) 
Республика Тыва 
Тюменская область (кроме районов, перечисленных ниже) 
Удмуртская республика 
Хабаровский край (кроме районов, перечисленных ниже) 
Челябинская область 
Читинская область 
Республика Хакасия 
Забайкальский край</t>
  </si>
  <si>
    <t>Архангельская область (кроме районов, расположенных
за Полярным кругом) 
Иркутская область (районы: Бодайбинский, Катангский, Киренский, Мамско-Чуйский) 
Камчатская область Республика Карелия (севернее 63°северной широты) 
Республика Коми (районы, расположенные южнее Полярного круга) 
Красноярский край (территории Эвенского автономного округа и Туруханского района, расположенного южнее Полярного круга) 
Курильские Острова Магаданская область (кроме Чукотского автономного округа и районов, перечисленных ниже) 
Мурманская область 
Республика Саха (Якутия) (кроме Оймяконского района и районов, расположенных севернее Полярного круга) 
Сахалинская область (районы: Ногликский, Охинский) 
Томская область (районы: Бакчарский, Верхнекетский, Кривошеинский, Молчановский, Парабельский, Чаинский и территории Александровского и Каргасокского районов, расположенные южнее 60°северной широты) 
Тюменская область (районы Ханты-Мансийского и Ямало-Ненецкого автономных кругов, кроме районов, расположенных севернее 60°северной широты) 
Хабаровский край (районы: Аяно-Майский, Николаевский, Охотский,
им.Полины Осипенко, Тугуро-Чумиканский, Ульчский)</t>
  </si>
  <si>
    <t>Особая зона</t>
  </si>
  <si>
    <t>Магаданская область (районы: Омсукчанский, Ольский, Северо-Эвенский, Среднеканский, Сусуманский, Тенькинский, Хасынский, Ягоднинский) 
Республика Саха (Якутия) (Оймяконский район) 
Территория, расположенная севернее Полярного круга (кроме Мурманской области) 
Томская область (территории Александровского и Каргасокского районов, расположенные севернее 60°северной широты) 
Тюменская область (районы Ханты-Мансийского и Ямало-Ненецкого автономных округов, расположенные севернее 60°северной широты) 
Чукотский автономный округ 
Ненецкий автономный округ</t>
  </si>
  <si>
    <t>Диаметр вертикального электрода d, м</t>
  </si>
  <si>
    <t>Длина вертикального электрода L, м</t>
  </si>
  <si>
    <t>Заглубление (расстояние до верха заземлителя) t, м</t>
  </si>
  <si>
    <t>Заглубление заземлитиля T</t>
  </si>
  <si>
    <t>Сопротивление растекания тока для одного вертикального заземлителя (Стержня): Rверт</t>
  </si>
  <si>
    <t>Количество стержней заземления без учета горизонтального заземления n0</t>
  </si>
  <si>
    <t>Сопротивление растекание тока для горизонтального заземлителя Rгор</t>
  </si>
  <si>
    <t>Удельное сопростивление грунта p (Ом*м)</t>
  </si>
  <si>
    <t>Удельное сопротивление грунта, p Ом·м</t>
  </si>
  <si>
    <t>Коэффициент спроса горизонтальных заземлителей nг</t>
  </si>
  <si>
    <t>Глубина заложения горизонтального электрода tг</t>
  </si>
  <si>
    <t>Длина горизонтального электрода Lгор</t>
  </si>
  <si>
    <t>Сопротивление вертикального заземлителя с учетом сопротивления растекания тока горизонтального заземлителя Rвертгор</t>
  </si>
  <si>
    <t>Количество вертикальных заземлителей N:</t>
  </si>
  <si>
    <t>Требуемое сопротивление, Ом</t>
  </si>
  <si>
    <t>Садовая земля</t>
  </si>
  <si>
    <t>Супесок</t>
  </si>
  <si>
    <t>Известняк, мергель</t>
  </si>
  <si>
    <t>Скалистый грунт</t>
  </si>
  <si>
    <t>Коэффициент сезонности климатической зоны Y (Вет зазем)</t>
  </si>
  <si>
    <t>Коэффициент сезонности климатической зоны w (гориз зазем)</t>
  </si>
  <si>
    <t>gc-21300</t>
  </si>
  <si>
    <t>Комплект заземления, 3м HZ EKF</t>
  </si>
  <si>
    <t>lp-g3105</t>
  </si>
  <si>
    <t>Зажим полоса 40 - полоса 40 (3 пластины 70х70мм) HZ EKF</t>
  </si>
  <si>
    <t>gc-wp</t>
  </si>
  <si>
    <t>Антикоррозийная лента 50 мм х 10 м.п. EKF</t>
  </si>
  <si>
    <t>lp-zinc</t>
  </si>
  <si>
    <t>Цинковый спрей "Presto" 400мл EKF</t>
  </si>
  <si>
    <t>Вы можете определить свою климатическую зону из списка вкладки "Климатические зоны"</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</si>
</sst>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u/>
      <sz val="11"/>
      <color theme="1"/>
      <name val="Calibri"/>
      <family val="2"/>
      <charset val="204"/>
      <scheme val="minor"/>
    </font>
    <font>
      <sz val="11"/>
      <color rgb="FFFF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2" fillId="0" borderId="0" xfId="0" applyFont="1" applyFill="1" applyBorder="1"/>
    <xf numFmtId="0" fontId="3"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right"/>
    </xf>
    <xf numFmtId="0" fontId="0" fillId="0" borderId="1" xfId="0" applyFill="1" applyBorder="1"/>
    <xf numFmtId="0" fontId="4" fillId="0" borderId="0" xfId="0" applyFont="1"/>
    <xf numFmtId="0" fontId="4" fillId="0" borderId="0" xfId="0" applyFont="1" applyFill="1" applyBorder="1"/>
    <xf numFmtId="0" fontId="0" fillId="2" borderId="0" xfId="0" applyFill="1" applyAlignment="1">
      <alignment horizontal="right"/>
    </xf>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Fill="1" applyBorder="1" applyAlignment="1">
      <alignment horizontal="center"/>
    </xf>
    <xf numFmtId="0" fontId="0" fillId="2" borderId="1" xfId="0" applyFill="1" applyBorder="1" applyAlignment="1">
      <alignment horizontal="right"/>
    </xf>
    <xf numFmtId="0" fontId="0" fillId="3" borderId="0" xfId="0" applyFill="1" applyAlignment="1">
      <alignment horizontal="right"/>
    </xf>
    <xf numFmtId="0" fontId="0" fillId="3" borderId="1" xfId="0" applyFill="1" applyBorder="1" applyAlignment="1">
      <alignment horizontal="right" vertical="center"/>
    </xf>
    <xf numFmtId="0" fontId="0" fillId="3" borderId="1" xfId="0" applyFill="1" applyBorder="1" applyAlignment="1">
      <alignment horizontal="right"/>
    </xf>
    <xf numFmtId="0" fontId="0" fillId="4" borderId="1" xfId="0" applyFill="1" applyBorder="1" applyAlignment="1">
      <alignment horizontal="right"/>
    </xf>
    <xf numFmtId="0" fontId="0" fillId="0" borderId="0" xfId="0" applyAlignment="1">
      <alignment wrapText="1"/>
    </xf>
    <xf numFmtId="0" fontId="0" fillId="0" borderId="0" xfId="0" applyAlignment="1">
      <alignment vertical="top" wrapText="1"/>
    </xf>
    <xf numFmtId="0" fontId="2" fillId="0" borderId="0" xfId="0" applyFont="1" applyAlignment="1">
      <alignment vertical="top"/>
    </xf>
    <xf numFmtId="0" fontId="0" fillId="6" borderId="0" xfId="0" applyFill="1"/>
    <xf numFmtId="0" fontId="5" fillId="0" borderId="1" xfId="0" applyFont="1" applyFill="1" applyBorder="1" applyAlignment="1" applyProtection="1">
      <alignment horizontal="right"/>
      <protection hidden="1"/>
    </xf>
    <xf numFmtId="0" fontId="0" fillId="0" borderId="1" xfId="0" applyFill="1" applyBorder="1" applyProtection="1">
      <protection hidden="1"/>
    </xf>
    <xf numFmtId="0" fontId="1" fillId="0" borderId="1" xfId="0" applyFont="1" applyFill="1" applyBorder="1" applyProtection="1">
      <protection hidden="1"/>
    </xf>
    <xf numFmtId="0" fontId="0" fillId="0" borderId="1" xfId="0" applyFill="1" applyBorder="1" applyAlignment="1" applyProtection="1">
      <alignment horizontal="right" vertical="center"/>
      <protection hidden="1"/>
    </xf>
    <xf numFmtId="0" fontId="0" fillId="0" borderId="1" xfId="0" applyBorder="1" applyProtection="1">
      <protection hidden="1"/>
    </xf>
    <xf numFmtId="0" fontId="0" fillId="0" borderId="1" xfId="0" applyFill="1" applyBorder="1" applyAlignment="1" applyProtection="1">
      <alignment horizontal="right"/>
      <protection hidden="1"/>
    </xf>
    <xf numFmtId="0" fontId="0" fillId="0" borderId="1" xfId="0" applyBorder="1" applyAlignment="1" applyProtection="1">
      <alignment horizontal="right"/>
      <protection hidden="1"/>
    </xf>
    <xf numFmtId="0" fontId="0" fillId="0" borderId="0" xfId="0" applyAlignment="1" applyProtection="1">
      <alignment horizontal="right"/>
      <protection hidden="1"/>
    </xf>
    <xf numFmtId="0" fontId="0" fillId="5" borderId="0" xfId="0" applyFill="1" applyAlignment="1" applyProtection="1">
      <alignment horizontal="right"/>
      <protection hidden="1"/>
    </xf>
    <xf numFmtId="4" fontId="0" fillId="5" borderId="0" xfId="0" applyNumberFormat="1" applyFill="1" applyAlignment="1" applyProtection="1">
      <alignment horizontal="right"/>
      <protection hidden="1"/>
    </xf>
    <xf numFmtId="0" fontId="0" fillId="6" borderId="0" xfId="0" applyFill="1" applyAlignment="1" applyProtection="1">
      <alignment horizontal="right"/>
      <protection hidden="1"/>
    </xf>
    <xf numFmtId="4" fontId="0" fillId="0" borderId="0" xfId="0" applyNumberFormat="1" applyAlignment="1" applyProtection="1">
      <alignment horizontal="right"/>
      <protection hidden="1"/>
    </xf>
    <xf numFmtId="0" fontId="3" fillId="0" borderId="0" xfId="0" applyFont="1" applyAlignment="1">
      <alignment horizontal="center"/>
    </xf>
    <xf numFmtId="0" fontId="0" fillId="0" borderId="0" xfId="0"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775606</xdr:colOff>
      <xdr:row>3</xdr:row>
      <xdr:rowOff>163284</xdr:rowOff>
    </xdr:from>
    <xdr:to>
      <xdr:col>9</xdr:col>
      <xdr:colOff>407175</xdr:colOff>
      <xdr:row>19</xdr:row>
      <xdr:rowOff>108857</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5642" y="734784"/>
          <a:ext cx="3945033" cy="300718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B2:F68"/>
  <sheetViews>
    <sheetView tabSelected="1" zoomScale="85" zoomScaleNormal="85" workbookViewId="0">
      <selection activeCell="C25" sqref="C25"/>
    </sheetView>
  </sheetViews>
  <sheetFormatPr defaultRowHeight="15" x14ac:dyDescent="0.25"/>
  <cols>
    <col min="1" max="1" width="2.85546875" customWidth="1"/>
    <col min="2" max="2" width="14.5703125" customWidth="1"/>
    <col min="3" max="3" width="75.85546875" customWidth="1"/>
    <col min="4" max="4" width="20.7109375" style="5" customWidth="1"/>
    <col min="5" max="5" width="12.5703125" style="3" customWidth="1"/>
    <col min="6" max="6" width="37.140625" customWidth="1"/>
  </cols>
  <sheetData>
    <row r="2" spans="2:6" x14ac:dyDescent="0.25">
      <c r="C2" t="s">
        <v>54</v>
      </c>
      <c r="D2" s="9"/>
    </row>
    <row r="3" spans="2:6" x14ac:dyDescent="0.25">
      <c r="C3" t="s">
        <v>55</v>
      </c>
      <c r="D3" s="17"/>
    </row>
    <row r="5" spans="2:6" x14ac:dyDescent="0.25">
      <c r="C5" s="13" t="s">
        <v>44</v>
      </c>
      <c r="D5" s="14" t="s">
        <v>45</v>
      </c>
      <c r="E5" s="14" t="s">
        <v>46</v>
      </c>
    </row>
    <row r="6" spans="2:6" x14ac:dyDescent="0.25">
      <c r="C6" s="10" t="s">
        <v>5</v>
      </c>
      <c r="D6" s="16">
        <v>30</v>
      </c>
      <c r="E6" s="11" t="s">
        <v>47</v>
      </c>
    </row>
    <row r="7" spans="2:6" x14ac:dyDescent="0.25">
      <c r="C7" s="10" t="s">
        <v>4</v>
      </c>
      <c r="D7" s="16">
        <v>40</v>
      </c>
      <c r="E7" s="11" t="s">
        <v>47</v>
      </c>
    </row>
    <row r="8" spans="2:6" x14ac:dyDescent="0.25">
      <c r="C8" s="10" t="s">
        <v>3</v>
      </c>
      <c r="D8" s="16">
        <v>20</v>
      </c>
      <c r="E8" s="11" t="s">
        <v>47</v>
      </c>
    </row>
    <row r="9" spans="2:6" x14ac:dyDescent="0.25">
      <c r="C9" s="10" t="s">
        <v>6</v>
      </c>
      <c r="D9" s="18">
        <v>3</v>
      </c>
      <c r="E9" s="11" t="s">
        <v>48</v>
      </c>
    </row>
    <row r="10" spans="2:6" x14ac:dyDescent="0.25">
      <c r="C10" s="10" t="s">
        <v>0</v>
      </c>
      <c r="D10" s="19" t="s">
        <v>50</v>
      </c>
      <c r="E10" s="11"/>
    </row>
    <row r="11" spans="2:6" x14ac:dyDescent="0.25">
      <c r="C11" s="10" t="s">
        <v>1</v>
      </c>
      <c r="D11" s="19">
        <v>3</v>
      </c>
      <c r="E11" s="11"/>
    </row>
    <row r="12" spans="2:6" x14ac:dyDescent="0.25">
      <c r="C12" s="10" t="s">
        <v>2</v>
      </c>
      <c r="D12" s="25" t="str">
        <f>IF(D9=1,"до 10 Ом",IF(D9=2,"до 10 Ом","до 20 Ом"))</f>
        <v>до 20 Ом</v>
      </c>
      <c r="E12" s="11"/>
    </row>
    <row r="14" spans="2:6" x14ac:dyDescent="0.25">
      <c r="C14" s="1" t="s">
        <v>7</v>
      </c>
    </row>
    <row r="15" spans="2:6" x14ac:dyDescent="0.25">
      <c r="C15" s="38" t="s">
        <v>95</v>
      </c>
      <c r="D15" s="38"/>
      <c r="E15" s="38"/>
      <c r="F15" s="38"/>
    </row>
    <row r="16" spans="2:6" ht="15.75" x14ac:dyDescent="0.25">
      <c r="B16" s="37" t="s">
        <v>27</v>
      </c>
      <c r="C16" s="37"/>
      <c r="D16" s="37"/>
      <c r="E16" s="37"/>
    </row>
    <row r="17" spans="2:5" x14ac:dyDescent="0.25">
      <c r="C17" s="7" t="s">
        <v>29</v>
      </c>
    </row>
    <row r="18" spans="2:5" x14ac:dyDescent="0.25">
      <c r="B18" s="12" t="s">
        <v>43</v>
      </c>
      <c r="C18" s="13" t="s">
        <v>44</v>
      </c>
      <c r="D18" s="14" t="s">
        <v>45</v>
      </c>
      <c r="E18" s="14" t="s">
        <v>46</v>
      </c>
    </row>
    <row r="19" spans="2:5" x14ac:dyDescent="0.25">
      <c r="B19" s="26"/>
      <c r="C19" s="27" t="s">
        <v>8</v>
      </c>
      <c r="D19" s="28" t="str">
        <f>IF(D9=1,"5",IF('Плоская кровля'!D9=2,"6",IF('Плоская кровля'!D9=3,"10","20")))</f>
        <v>10</v>
      </c>
      <c r="E19" s="15" t="s">
        <v>17</v>
      </c>
    </row>
    <row r="20" spans="2:5" x14ac:dyDescent="0.25">
      <c r="B20" s="26"/>
      <c r="C20" s="27" t="s">
        <v>39</v>
      </c>
      <c r="D20" s="28" t="str">
        <f>IF(D9=1,"10",IF('Плоская кровля'!D9=2,"15",IF('Плоская кровля'!D9=3,"20","25")))</f>
        <v>20</v>
      </c>
      <c r="E20" s="15" t="s">
        <v>17</v>
      </c>
    </row>
    <row r="21" spans="2:5" x14ac:dyDescent="0.25">
      <c r="B21" s="26"/>
      <c r="C21" s="27" t="s">
        <v>40</v>
      </c>
      <c r="D21" s="28">
        <f>ROUNDUP(((D6+D7)*2/D20+1),0)</f>
        <v>8</v>
      </c>
      <c r="E21" s="15" t="s">
        <v>18</v>
      </c>
    </row>
    <row r="22" spans="2:5" x14ac:dyDescent="0.25">
      <c r="B22" s="29" t="s">
        <v>9</v>
      </c>
      <c r="C22" s="26" t="s">
        <v>16</v>
      </c>
      <c r="D22" s="30">
        <f>ROUNDDOWN((((D6/D19+2)*D7)+((D7/D19+2)*D6))/127,0)*127</f>
        <v>254</v>
      </c>
      <c r="E22" s="11" t="s">
        <v>17</v>
      </c>
    </row>
    <row r="23" spans="2:5" x14ac:dyDescent="0.25">
      <c r="B23" s="29" t="s">
        <v>14</v>
      </c>
      <c r="C23" s="29" t="s">
        <v>15</v>
      </c>
      <c r="D23" s="31">
        <f>ROUNDUP((((D6/D19+2)*D7)+((D7/D19+2)*D6)-D22)/25,0)*25</f>
        <v>150</v>
      </c>
      <c r="E23" s="11" t="s">
        <v>17</v>
      </c>
    </row>
    <row r="24" spans="2:5" x14ac:dyDescent="0.25">
      <c r="B24" s="29" t="s">
        <v>19</v>
      </c>
      <c r="C24" s="26" t="s">
        <v>20</v>
      </c>
      <c r="D24" s="31">
        <f>ROUNDUP((D6/D19+2)*(D7/D19+2),0)</f>
        <v>30</v>
      </c>
      <c r="E24" s="11" t="s">
        <v>18</v>
      </c>
    </row>
    <row r="25" spans="2:5" x14ac:dyDescent="0.25">
      <c r="B25" s="29" t="s">
        <v>21</v>
      </c>
      <c r="C25" s="26" t="s">
        <v>22</v>
      </c>
      <c r="D25" s="31" t="str">
        <f>IF(D6&gt;100,D6/D19+1,"не требуется")</f>
        <v>не требуется</v>
      </c>
      <c r="E25" s="11" t="s">
        <v>18</v>
      </c>
    </row>
    <row r="26" spans="2:5" x14ac:dyDescent="0.25">
      <c r="B26" s="29" t="s">
        <v>23</v>
      </c>
      <c r="C26" s="26" t="s">
        <v>24</v>
      </c>
      <c r="D26" s="31" t="str">
        <f>IF(D6&gt;100,D25*2,"не требуется")</f>
        <v>не требуется</v>
      </c>
      <c r="E26" s="11" t="s">
        <v>18</v>
      </c>
    </row>
    <row r="27" spans="2:5" x14ac:dyDescent="0.25">
      <c r="B27" s="29" t="s">
        <v>25</v>
      </c>
      <c r="C27" s="26" t="s">
        <v>26</v>
      </c>
      <c r="D27" s="31">
        <f>(((D6/D19+1)*D7)+((D7/D19+1)*D6))</f>
        <v>310</v>
      </c>
      <c r="E27" s="11" t="s">
        <v>18</v>
      </c>
    </row>
    <row r="29" spans="2:5" x14ac:dyDescent="0.25">
      <c r="C29" s="8" t="s">
        <v>41</v>
      </c>
    </row>
    <row r="30" spans="2:5" x14ac:dyDescent="0.25">
      <c r="B30" s="12" t="s">
        <v>43</v>
      </c>
      <c r="C30" s="13" t="s">
        <v>44</v>
      </c>
      <c r="D30" s="14" t="s">
        <v>45</v>
      </c>
      <c r="E30" s="14" t="s">
        <v>46</v>
      </c>
    </row>
    <row r="31" spans="2:5" x14ac:dyDescent="0.25">
      <c r="B31" s="10"/>
      <c r="C31" s="6" t="s">
        <v>42</v>
      </c>
      <c r="D31" s="20" t="s">
        <v>31</v>
      </c>
      <c r="E31" s="11"/>
    </row>
    <row r="32" spans="2:5" x14ac:dyDescent="0.25">
      <c r="B32" s="12"/>
      <c r="C32" s="6" t="s">
        <v>33</v>
      </c>
      <c r="D32" s="20" t="s">
        <v>37</v>
      </c>
      <c r="E32" s="11"/>
    </row>
    <row r="33" spans="2:5" x14ac:dyDescent="0.25">
      <c r="B33" s="29" t="str">
        <f>IF(D31="Пруток d 8мм", "lp-08-127-hz ","gc-0425-64-hz")</f>
        <v xml:space="preserve">lp-08-127-hz </v>
      </c>
      <c r="C33" s="29" t="str">
        <f>IF(D31="Пруток d 8мм", "Пруток d 8мм, (бухта 127м) горячеоцинкованный EKF ","Полоса 4х25мм, (бухта 64м) горячеоцинкованная EKF")</f>
        <v xml:space="preserve">Пруток d 8мм, (бухта 127м) горячеоцинкованный EKF </v>
      </c>
      <c r="D33" s="31">
        <f>IF(D31="Пруток d 8мм",ROUNDDOWN(((D21*(D8+3))/127),0)*127, ROUNDUP(((D21*(D8+3))/64),0)*64)</f>
        <v>127</v>
      </c>
      <c r="E33" s="11" t="s">
        <v>17</v>
      </c>
    </row>
    <row r="34" spans="2:5" x14ac:dyDescent="0.25">
      <c r="B34" s="29" t="str">
        <f>IF(D31="Пруток d 8мм", "lp-08-127-hz "," " )</f>
        <v xml:space="preserve">lp-08-127-hz </v>
      </c>
      <c r="C34" s="29" t="str">
        <f>IF(D31="Пруток d 8мм", "Пруток d 8мм, (бухта 127м) горячеоцинкованный EKF "," ")</f>
        <v xml:space="preserve">Пруток d 8мм, (бухта 127м) горячеоцинкованный EKF </v>
      </c>
      <c r="D34" s="31">
        <f>IF(D31="Пруток d 8мм",ROUNDUP(((D21*(D8+3))-D33)/25,0)*25," ")</f>
        <v>75</v>
      </c>
      <c r="E34" s="11" t="str">
        <f>IF(D31="Пруток d 8мм", "метров"," " )</f>
        <v>метров</v>
      </c>
    </row>
    <row r="35" spans="2:5" x14ac:dyDescent="0.25">
      <c r="B35" s="29" t="str">
        <f>IF(AND(D31="Пруток d 8мм",D32="Газобетон"),"lp-51511",IF(AND(D31="Пруток d 8мм",D32="Кирпич"),"lp-d2307",IF(AND(D31="Пруток d 8мм",D32="Бетон"),"lp-51511",IF(AND(D31="Пруток d 8мм",D32="Сендвич"),"lp-35025",IF(AND(D31="Пруток d 8мм",D32="Брус, дерево"),"lp-31200",IF(AND(D31="Полоса 25х4",D32="Газобетон"),"lp-31508",IF(AND(D31="Полоса 25х4",D32="Бетон"),"lp-31508",IF(AND(D31="Полоса 25х4",D32="Кирпич"),"lp-31508",IF(AND(D31="Полоса 25х4",D32="Сендвич"),"lp-31540",IF(AND(D31="Полоса 25х4",D32="Брус, дерево"),"lp-36110",0))))))))))</f>
        <v>lp-31200</v>
      </c>
      <c r="C35" s="29" t="str">
        <f>IF(AND(D31="Пруток d 8мм",D32="Газобетон"),"Зажим прута унив. малый 51510  HZ (30x30мм) с анкером EKF",IF(AND(D31="Пруток d 8мм",D32="Кирпич"),"Держатель фасадный, L=100мм HZ EKF",IF(AND(D31="Пруток d 8мм",D32="Бетон"),"Зажим прута унив. малый 51510  HZ (30x30мм) с анкером EKF",IF(AND(D31="Пруток d 8мм",D32="Сендвич"),"Держатель проводника на гор. и верт. пов., L=25мм HZ EKF",IF(AND(D31="Пруток d 8мм",D32="Брус, дерево"),"Держатель фасадный, L=200мм, HZ EKF",IF(AND(D31="Полоса 25х4",D32="Газобетон"),"Держатель фасадный для полосы 50 мм, L=100мм, HZ EKF",IF(AND(D31="Полоса 25х4",D32="Бетон"),"Держатель фасадный для полосы 50 мм, L=100мм, HZ EKF",IF(AND(D31="Полоса 25х4",D32="Кирпич"),"Держатель фасадный для полосы 50 мм, L=100мм, HZ EKF",IF(AND(D31="Полоса 25х4",D32="Сендвич"),"Держатель для полосы горячеоцинкованный EKF",IF(AND(D31="Полоса 25х4",D32="Брус, дерево"),"Держатель дистанционный для полосы и прута L=110  HZ EKF",0))))))))))</f>
        <v>Держатель фасадный, L=200мм, HZ EKF</v>
      </c>
      <c r="D35" s="31">
        <f>IF(D31="Прут d 8мм",ROUNDUP((D33+D34)/0.8,0),D33)</f>
        <v>127</v>
      </c>
      <c r="E35" s="11" t="s">
        <v>18</v>
      </c>
    </row>
    <row r="36" spans="2:5" x14ac:dyDescent="0.25">
      <c r="B36" s="29" t="str">
        <f>IF(D31="Пруток d 8мм", "lp-55758 ","lp-g3101")</f>
        <v xml:space="preserve">lp-55758 </v>
      </c>
      <c r="C36" s="29" t="str">
        <f>IF(D31="Пруток d 8мм", "Зажим крестовидный прут-прут (3 пластины 57x57мм) HZ EKF ","Зажим полоса 40 - прут 10 (3 пластины 70x70мм) HZ EKF")</f>
        <v xml:space="preserve">Зажим крестовидный прут-прут (3 пластины 57x57мм) HZ EKF </v>
      </c>
      <c r="D36" s="31">
        <f>D21</f>
        <v>8</v>
      </c>
      <c r="E36" s="11" t="s">
        <v>18</v>
      </c>
    </row>
    <row r="37" spans="2:5" x14ac:dyDescent="0.25">
      <c r="B37" s="29" t="str">
        <f>IF(D31="Пруток d 8мм", "lp-g3101","lp-g3105")</f>
        <v>lp-g3101</v>
      </c>
      <c r="C37" s="29" t="str">
        <f>IF(D31="Пруток d 8мм", "Зажим полоса 40 - прут 10 (3 пластины 70x70мм) HZ EKF ","Зажим полоса 40 - полоса 40 (3 пластины 70х70мм) HZ EKF")</f>
        <v xml:space="preserve">Зажим полоса 40 - прут 10 (3 пластины 70x70мм) HZ EKF </v>
      </c>
      <c r="D37" s="31">
        <f>D21</f>
        <v>8</v>
      </c>
      <c r="E37" s="11" t="s">
        <v>18</v>
      </c>
    </row>
    <row r="40" spans="2:5" ht="15.75" x14ac:dyDescent="0.25">
      <c r="B40" s="37" t="s">
        <v>28</v>
      </c>
      <c r="C40" s="37"/>
      <c r="D40" s="37"/>
      <c r="E40" s="37"/>
    </row>
    <row r="41" spans="2:5" ht="15.75" x14ac:dyDescent="0.25">
      <c r="C41" s="2"/>
    </row>
    <row r="42" spans="2:5" x14ac:dyDescent="0.25">
      <c r="B42" s="12" t="s">
        <v>43</v>
      </c>
      <c r="C42" s="13" t="s">
        <v>44</v>
      </c>
      <c r="D42" s="14" t="s">
        <v>45</v>
      </c>
      <c r="E42" s="14" t="s">
        <v>46</v>
      </c>
    </row>
    <row r="43" spans="2:5" x14ac:dyDescent="0.25">
      <c r="B43" s="29" t="s">
        <v>12</v>
      </c>
      <c r="C43" s="29" t="s">
        <v>13</v>
      </c>
      <c r="D43" s="31">
        <f>ROUNDDOWN((D6+2+D6+2+D7+2+D7+2+(2*D21))/40,0)*40</f>
        <v>160</v>
      </c>
      <c r="E43" s="11" t="s">
        <v>17</v>
      </c>
    </row>
    <row r="44" spans="2:5" x14ac:dyDescent="0.25">
      <c r="B44" s="29" t="s">
        <v>10</v>
      </c>
      <c r="C44" s="29" t="s">
        <v>11</v>
      </c>
      <c r="D44" s="31">
        <f>ROUNDUP(((D6+2+D6+2+D7+2+D7+2+(2*D21))-D43)/20,0)*20</f>
        <v>20</v>
      </c>
      <c r="E44" s="11" t="s">
        <v>17</v>
      </c>
    </row>
    <row r="45" spans="2:5" x14ac:dyDescent="0.25">
      <c r="B45" s="29" t="s">
        <v>87</v>
      </c>
      <c r="C45" s="29" t="s">
        <v>88</v>
      </c>
      <c r="D45" s="31">
        <f>IF((D65*D58)/(D65-D58)&lt;0,"не требуется",ROUNDUP((D56/(D67*D62)),0))</f>
        <v>6</v>
      </c>
      <c r="E45" s="11" t="s">
        <v>18</v>
      </c>
    </row>
    <row r="46" spans="2:5" x14ac:dyDescent="0.25">
      <c r="B46" s="29" t="s">
        <v>89</v>
      </c>
      <c r="C46" s="29" t="s">
        <v>90</v>
      </c>
      <c r="D46" s="31">
        <f>ROUNDUP(((D43+D44)/20),0)</f>
        <v>9</v>
      </c>
      <c r="E46" s="11" t="s">
        <v>18</v>
      </c>
    </row>
    <row r="47" spans="2:5" x14ac:dyDescent="0.25">
      <c r="B47" s="29" t="s">
        <v>91</v>
      </c>
      <c r="C47" s="29" t="s">
        <v>92</v>
      </c>
      <c r="D47" s="31">
        <f>IF((D65*D58)/(D65-D58)&lt;0,ROUNDUP(D46/3,0),ROUNDUP(((D56/(D67*D62))/3+D45/3),0))</f>
        <v>4</v>
      </c>
      <c r="E47" s="11" t="s">
        <v>18</v>
      </c>
    </row>
    <row r="48" spans="2:5" x14ac:dyDescent="0.25">
      <c r="B48" s="29" t="s">
        <v>93</v>
      </c>
      <c r="C48" s="29" t="s">
        <v>94</v>
      </c>
      <c r="D48" s="31">
        <f>ROUNDUP((D44+D43+D34+D33+D23+D22)/200,0)</f>
        <v>4</v>
      </c>
      <c r="E48" s="11" t="s">
        <v>18</v>
      </c>
    </row>
    <row r="51" spans="3:4" x14ac:dyDescent="0.25">
      <c r="C51" t="s">
        <v>73</v>
      </c>
      <c r="D51" s="32">
        <f>IF(D10="Торф",20,IF(D10="Чернозем",50,IF(D10="Глина",70,IF(D10="Садовая земля",100,IF(D10="Суглинок",150,IF(D10="Супесок",300,IF(D10="Песок",700,IF(D10="Известняк, меркель",2000,4000))))))))</f>
        <v>700</v>
      </c>
    </row>
    <row r="52" spans="3:4" x14ac:dyDescent="0.25">
      <c r="C52" t="s">
        <v>67</v>
      </c>
      <c r="D52" s="32">
        <v>3</v>
      </c>
    </row>
    <row r="53" spans="3:4" x14ac:dyDescent="0.25">
      <c r="C53" t="s">
        <v>66</v>
      </c>
      <c r="D53" s="32">
        <v>1.6E-2</v>
      </c>
    </row>
    <row r="54" spans="3:4" x14ac:dyDescent="0.25">
      <c r="C54" t="s">
        <v>68</v>
      </c>
      <c r="D54" s="32">
        <v>0.7</v>
      </c>
    </row>
    <row r="55" spans="3:4" x14ac:dyDescent="0.25">
      <c r="C55" t="s">
        <v>69</v>
      </c>
      <c r="D55" s="33">
        <f>(D52/2+D54)</f>
        <v>2.2000000000000002</v>
      </c>
    </row>
    <row r="56" spans="3:4" x14ac:dyDescent="0.25">
      <c r="C56" t="s">
        <v>70</v>
      </c>
      <c r="D56" s="34">
        <f>(D51/(2*3.1415*D52))*(LN(2*D52/D53))+0.5*(LN((4*D55+D52)/(4*D55-D52)))</f>
        <v>220.46484642525701</v>
      </c>
    </row>
    <row r="57" spans="3:4" x14ac:dyDescent="0.25">
      <c r="C57" s="24" t="s">
        <v>85</v>
      </c>
      <c r="D57" s="35">
        <f>IF(D11=1,1.9,IF(D11=2,1.7,IF(D11=3,1.6,1.3)))</f>
        <v>1.6</v>
      </c>
    </row>
    <row r="58" spans="3:4" x14ac:dyDescent="0.25">
      <c r="C58" t="s">
        <v>80</v>
      </c>
      <c r="D58" s="32" t="str">
        <f>IF(D9=1,"10",IF(D9=2,"10",IF(D9=3,"20","20")))</f>
        <v>20</v>
      </c>
    </row>
    <row r="59" spans="3:4" x14ac:dyDescent="0.25">
      <c r="C59" t="s">
        <v>71</v>
      </c>
      <c r="D59" s="34">
        <f>(D56*D57)/D58</f>
        <v>17.637187714020563</v>
      </c>
    </row>
    <row r="60" spans="3:4" x14ac:dyDescent="0.25">
      <c r="C60" t="s">
        <v>74</v>
      </c>
      <c r="D60" s="32">
        <f>D51</f>
        <v>700</v>
      </c>
    </row>
    <row r="61" spans="3:4" x14ac:dyDescent="0.25">
      <c r="C61" s="24" t="s">
        <v>86</v>
      </c>
      <c r="D61" s="35">
        <f>IF(D11=1,6,IF(D11=2,4,IF(D11=3,2.3,1.5)))</f>
        <v>2.2999999999999998</v>
      </c>
    </row>
    <row r="62" spans="3:4" x14ac:dyDescent="0.25">
      <c r="C62" t="s">
        <v>75</v>
      </c>
      <c r="D62" s="32">
        <v>0.77</v>
      </c>
    </row>
    <row r="63" spans="3:4" x14ac:dyDescent="0.25">
      <c r="C63" t="s">
        <v>76</v>
      </c>
      <c r="D63" s="32">
        <v>0.7</v>
      </c>
    </row>
    <row r="64" spans="3:4" x14ac:dyDescent="0.25">
      <c r="C64" t="s">
        <v>77</v>
      </c>
      <c r="D64" s="32">
        <f>(D6+2)*2+(D7+2)*2</f>
        <v>148</v>
      </c>
    </row>
    <row r="65" spans="3:4" x14ac:dyDescent="0.25">
      <c r="C65" t="s">
        <v>72</v>
      </c>
      <c r="D65" s="36">
        <f>0.366*((D60*D61)/(D64*D62))*LOG10((2*D64*D64)/(0.04*D63))</f>
        <v>32.029742282586049</v>
      </c>
    </row>
    <row r="66" spans="3:4" x14ac:dyDescent="0.25">
      <c r="D66" s="32"/>
    </row>
    <row r="67" spans="3:4" ht="30" x14ac:dyDescent="0.25">
      <c r="C67" s="21" t="s">
        <v>78</v>
      </c>
      <c r="D67" s="36">
        <f>IF((D65*D58)/(D65-D58)&lt;0,"0",(D65*D58)/(D65-D58))</f>
        <v>53.250920144734096</v>
      </c>
    </row>
    <row r="68" spans="3:4" x14ac:dyDescent="0.25">
      <c r="C68" t="s">
        <v>79</v>
      </c>
      <c r="D68" s="32">
        <f>IF((D65*D58)/(D65-D58)&lt;0,"не требуется",ROUNDUP((D56/(D67*D62)),0))</f>
        <v>6</v>
      </c>
    </row>
  </sheetData>
  <sheetProtection algorithmName="SHA-512" hashValue="8ptxvPd1BfGJoWEA/bUNLmWe1xr+jR7acVxE0oadFYpJYKRaM4uSQLPzbSBZf2yrO4rShMQPl9pnI02v7IZbXw==" saltValue="7xojDj8NpO3FHEuQfEEqMg==" spinCount="100000" sheet="1" objects="1" scenarios="1"/>
  <protectedRanges>
    <protectedRange sqref="D31:D32" name="Диапазон2"/>
    <protectedRange sqref="D6:D11" name="Диапазон1"/>
  </protectedRanges>
  <mergeCells count="3">
    <mergeCell ref="B40:E40"/>
    <mergeCell ref="C15:F15"/>
    <mergeCell ref="B16:E16"/>
  </mergeCells>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Title="Уровень защиты">
          <x14:formula1>
            <xm:f>'Исходные данные'!$C$2:$C$5</xm:f>
          </x14:formula1>
          <xm:sqref>D9</xm:sqref>
        </x14:dataValidation>
        <x14:dataValidation type="list" allowBlank="1" showInputMessage="1" showErrorMessage="1" promptTitle="Вид опусков">
          <x14:formula1>
            <xm:f>'Исходные данные'!$C$8:$C$9</xm:f>
          </x14:formula1>
          <xm:sqref>D31</xm:sqref>
        </x14:dataValidation>
        <x14:dataValidation type="list" allowBlank="1" showInputMessage="1" showErrorMessage="1" promptTitle="Материал стен">
          <x14:formula1>
            <xm:f>'Исходные данные'!$C$12:$C$16</xm:f>
          </x14:formula1>
          <xm:sqref>D32</xm:sqref>
        </x14:dataValidation>
        <x14:dataValidation type="list" allowBlank="1" showInputMessage="1" showErrorMessage="1" promptTitle="Вид грунта">
          <x14:formula1>
            <xm:f>'Исходные данные'!$C$18:$C$26</xm:f>
          </x14:formula1>
          <xm:sqref>D10</xm:sqref>
        </x14:dataValidation>
        <x14:dataValidation type="list" allowBlank="1" showInputMessage="1" showErrorMessage="1" promptTitle="Климатическая зона">
          <x14:formula1>
            <xm:f>'Исходные данные'!$C$32:$C$35</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2:B6"/>
  <sheetViews>
    <sheetView topLeftCell="A5" zoomScale="70" zoomScaleNormal="70" workbookViewId="0">
      <selection activeCell="A5" sqref="A1:A1048576"/>
    </sheetView>
  </sheetViews>
  <sheetFormatPr defaultRowHeight="15" x14ac:dyDescent="0.25"/>
  <cols>
    <col min="1" max="1" width="12.42578125" style="23" customWidth="1"/>
    <col min="2" max="2" width="146.7109375" style="21" customWidth="1"/>
  </cols>
  <sheetData>
    <row r="2" spans="1:2" ht="225" x14ac:dyDescent="0.25">
      <c r="A2" s="23" t="s">
        <v>57</v>
      </c>
      <c r="B2" s="21" t="s">
        <v>56</v>
      </c>
    </row>
    <row r="3" spans="1:2" ht="405" x14ac:dyDescent="0.25">
      <c r="A3" s="23" t="s">
        <v>58</v>
      </c>
      <c r="B3" s="21" t="s">
        <v>61</v>
      </c>
    </row>
    <row r="4" spans="1:2" ht="409.5" x14ac:dyDescent="0.25">
      <c r="A4" s="23" t="s">
        <v>59</v>
      </c>
      <c r="B4" s="21" t="s">
        <v>62</v>
      </c>
    </row>
    <row r="5" spans="1:2" ht="240" x14ac:dyDescent="0.25">
      <c r="A5" s="23" t="s">
        <v>60</v>
      </c>
      <c r="B5" s="22" t="s">
        <v>63</v>
      </c>
    </row>
    <row r="6" spans="1:2" ht="105" x14ac:dyDescent="0.25">
      <c r="A6" s="23" t="s">
        <v>64</v>
      </c>
      <c r="B6" s="21"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B2:D42"/>
  <sheetViews>
    <sheetView topLeftCell="A12" workbookViewId="0">
      <selection activeCell="E25" sqref="E25"/>
    </sheetView>
  </sheetViews>
  <sheetFormatPr defaultRowHeight="15" x14ac:dyDescent="0.25"/>
  <cols>
    <col min="2" max="2" width="16.140625" bestFit="1" customWidth="1"/>
    <col min="3" max="3" width="23.42578125" customWidth="1"/>
    <col min="7" max="7" width="17.140625" customWidth="1"/>
  </cols>
  <sheetData>
    <row r="2" spans="2:4" x14ac:dyDescent="0.25">
      <c r="B2" t="s">
        <v>6</v>
      </c>
      <c r="C2" s="4">
        <v>1</v>
      </c>
      <c r="D2">
        <v>5</v>
      </c>
    </row>
    <row r="3" spans="2:4" x14ac:dyDescent="0.25">
      <c r="C3" s="4">
        <v>2</v>
      </c>
      <c r="D3">
        <v>10</v>
      </c>
    </row>
    <row r="4" spans="2:4" x14ac:dyDescent="0.25">
      <c r="C4" s="4">
        <v>3</v>
      </c>
      <c r="D4">
        <v>15</v>
      </c>
    </row>
    <row r="5" spans="2:4" x14ac:dyDescent="0.25">
      <c r="C5" s="4">
        <v>4</v>
      </c>
      <c r="D5">
        <v>20</v>
      </c>
    </row>
    <row r="8" spans="2:4" x14ac:dyDescent="0.25">
      <c r="B8" t="s">
        <v>30</v>
      </c>
      <c r="C8" t="s">
        <v>31</v>
      </c>
    </row>
    <row r="9" spans="2:4" x14ac:dyDescent="0.25">
      <c r="C9" t="s">
        <v>32</v>
      </c>
    </row>
    <row r="12" spans="2:4" x14ac:dyDescent="0.25">
      <c r="B12" t="s">
        <v>33</v>
      </c>
      <c r="C12" t="s">
        <v>34</v>
      </c>
    </row>
    <row r="13" spans="2:4" x14ac:dyDescent="0.25">
      <c r="C13" t="s">
        <v>35</v>
      </c>
    </row>
    <row r="14" spans="2:4" x14ac:dyDescent="0.25">
      <c r="C14" t="s">
        <v>36</v>
      </c>
    </row>
    <row r="15" spans="2:4" x14ac:dyDescent="0.25">
      <c r="C15" t="s">
        <v>37</v>
      </c>
    </row>
    <row r="16" spans="2:4" x14ac:dyDescent="0.25">
      <c r="C16" t="s">
        <v>38</v>
      </c>
    </row>
    <row r="18" spans="2:3" x14ac:dyDescent="0.25">
      <c r="B18" t="s">
        <v>0</v>
      </c>
      <c r="C18" t="s">
        <v>52</v>
      </c>
    </row>
    <row r="19" spans="2:3" x14ac:dyDescent="0.25">
      <c r="C19" t="s">
        <v>53</v>
      </c>
    </row>
    <row r="20" spans="2:3" x14ac:dyDescent="0.25">
      <c r="C20" t="s">
        <v>49</v>
      </c>
    </row>
    <row r="21" spans="2:3" x14ac:dyDescent="0.25">
      <c r="C21" t="s">
        <v>81</v>
      </c>
    </row>
    <row r="22" spans="2:3" x14ac:dyDescent="0.25">
      <c r="C22" t="s">
        <v>51</v>
      </c>
    </row>
    <row r="23" spans="2:3" x14ac:dyDescent="0.25">
      <c r="C23" t="s">
        <v>82</v>
      </c>
    </row>
    <row r="24" spans="2:3" x14ac:dyDescent="0.25">
      <c r="C24" t="s">
        <v>50</v>
      </c>
    </row>
    <row r="25" spans="2:3" x14ac:dyDescent="0.25">
      <c r="C25" t="s">
        <v>83</v>
      </c>
    </row>
    <row r="26" spans="2:3" x14ac:dyDescent="0.25">
      <c r="C26" t="s">
        <v>84</v>
      </c>
    </row>
    <row r="32" spans="2:3" x14ac:dyDescent="0.25">
      <c r="B32" t="s">
        <v>1</v>
      </c>
      <c r="C32">
        <v>1</v>
      </c>
    </row>
    <row r="33" spans="3:3" x14ac:dyDescent="0.25">
      <c r="C33">
        <v>2</v>
      </c>
    </row>
    <row r="34" spans="3:3" x14ac:dyDescent="0.25">
      <c r="C34">
        <v>3</v>
      </c>
    </row>
    <row r="35" spans="3:3" x14ac:dyDescent="0.25">
      <c r="C35">
        <v>4</v>
      </c>
    </row>
    <row r="37" spans="3:3" ht="63" customHeight="1" x14ac:dyDescent="0.25"/>
    <row r="42" spans="3:3" ht="50.2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Плоская кровля</vt:lpstr>
      <vt:lpstr>Климатические зоны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2020-06-04T09:35:48Z</dcterms:modified>
</cp:coreProperties>
</file>